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5240" activeTab="0"/>
  </bookViews>
  <sheets>
    <sheet name="Ingredients" sheetId="1" r:id="rId1"/>
    <sheet name="Calculations" sheetId="2" r:id="rId2"/>
    <sheet name="Graphical Representations" sheetId="3" r:id="rId3"/>
  </sheets>
  <definedNames/>
  <calcPr fullCalcOnLoad="1"/>
</workbook>
</file>

<file path=xl/comments2.xml><?xml version="1.0" encoding="utf-8"?>
<comments xmlns="http://schemas.openxmlformats.org/spreadsheetml/2006/main">
  <authors>
    <author>james reinhardt</author>
  </authors>
  <commentList>
    <comment ref="F22" authorId="0">
      <text>
        <r>
          <rPr>
            <b/>
            <sz val="9"/>
            <rFont val="Calibri"/>
            <family val="2"/>
          </rPr>
          <t>james reinhardt:</t>
        </r>
        <r>
          <rPr>
            <sz val="9"/>
            <rFont val="Calibri"/>
            <family val="2"/>
          </rPr>
          <t xml:space="preserve">
I am going to use the annualization numbers from the earleir spreadsheet assignment until informed otherwise. I , of course, have adjusted the years to 5.
</t>
        </r>
      </text>
    </comment>
  </commentList>
</comments>
</file>

<file path=xl/sharedStrings.xml><?xml version="1.0" encoding="utf-8"?>
<sst xmlns="http://schemas.openxmlformats.org/spreadsheetml/2006/main" count="103" uniqueCount="81">
  <si>
    <t xml:space="preserve">Type of ingredient </t>
  </si>
  <si>
    <t>Unit</t>
  </si>
  <si>
    <t># units</t>
  </si>
  <si>
    <t>cost/unit</t>
  </si>
  <si>
    <t>cost</t>
  </si>
  <si>
    <t>Management (ongoing)</t>
  </si>
  <si>
    <t>Manager</t>
  </si>
  <si>
    <t>Management support</t>
  </si>
  <si>
    <t>Total recurrent management  costs</t>
  </si>
  <si>
    <t xml:space="preserve">Development </t>
  </si>
  <si>
    <t>Mannagement support</t>
  </si>
  <si>
    <t>Development course material</t>
  </si>
  <si>
    <t>hours</t>
  </si>
  <si>
    <t>Total development costs</t>
  </si>
  <si>
    <t>Total fixed costs</t>
  </si>
  <si>
    <t>Delivery</t>
  </si>
  <si>
    <t>Marking assignments</t>
  </si>
  <si>
    <t xml:space="preserve">Total variable cost per student </t>
  </si>
  <si>
    <t>per credit point</t>
  </si>
  <si>
    <t>Year 1</t>
  </si>
  <si>
    <t>Year 2</t>
  </si>
  <si>
    <t>Year 3</t>
  </si>
  <si>
    <t>Year 4</t>
  </si>
  <si>
    <t>Year 5</t>
  </si>
  <si>
    <t>acc # students</t>
  </si>
  <si>
    <t>Recurrent management costs</t>
  </si>
  <si>
    <t>Fixed costs of</t>
  </si>
  <si>
    <t>development</t>
  </si>
  <si>
    <t>Annualized fixed costs of</t>
  </si>
  <si>
    <t>Variable costs</t>
  </si>
  <si>
    <t>Total income</t>
  </si>
  <si>
    <t xml:space="preserve">Income - cost </t>
  </si>
  <si>
    <t>Annualization</t>
  </si>
  <si>
    <t>Input</t>
  </si>
  <si>
    <t>r</t>
  </si>
  <si>
    <t>rate</t>
  </si>
  <si>
    <t>n</t>
  </si>
  <si>
    <t>years</t>
  </si>
  <si>
    <t>C</t>
  </si>
  <si>
    <t>amount</t>
  </si>
  <si>
    <t>(1+r)</t>
  </si>
  <si>
    <r>
      <t xml:space="preserve">(1+r) </t>
    </r>
    <r>
      <rPr>
        <vertAlign val="superscript"/>
        <sz val="10"/>
        <color indexed="8"/>
        <rFont val="Times New Roman"/>
        <family val="1"/>
      </rPr>
      <t>n</t>
    </r>
  </si>
  <si>
    <t>(Intermediate value)</t>
  </si>
  <si>
    <t>a(r,n)</t>
  </si>
  <si>
    <t>Annualization factor</t>
  </si>
  <si>
    <t>Result</t>
  </si>
  <si>
    <t>C*a(r,n)</t>
  </si>
  <si>
    <t xml:space="preserve">Annualized amount </t>
  </si>
  <si>
    <t>Administrative Support Staff</t>
  </si>
  <si>
    <t>Adjunct Faculty</t>
  </si>
  <si>
    <t>Lead Faculty</t>
  </si>
  <si>
    <t>in-state</t>
  </si>
  <si>
    <t>out-of-state</t>
  </si>
  <si>
    <t>Tutoring services</t>
  </si>
  <si>
    <t>annual rate</t>
  </si>
  <si>
    <t>Learning modules and text</t>
  </si>
  <si>
    <t>labor</t>
  </si>
  <si>
    <t xml:space="preserve">Learning management system  </t>
  </si>
  <si>
    <t>Licensing fee</t>
  </si>
  <si>
    <t>Storyboard That</t>
  </si>
  <si>
    <t># in-state students per annum</t>
  </si>
  <si>
    <t># out-of-statestudents per annum</t>
  </si>
  <si>
    <t>LMS usage fee</t>
  </si>
  <si>
    <t>CAPC content licensing fee</t>
  </si>
  <si>
    <t>Student income</t>
  </si>
  <si>
    <t>Break-even point (number of students to reach point)</t>
  </si>
  <si>
    <t>Course items</t>
  </si>
  <si>
    <t>Course marketing</t>
  </si>
  <si>
    <t>Marketing expenditures</t>
  </si>
  <si>
    <t>licensing fee</t>
  </si>
  <si>
    <t>initial fee</t>
  </si>
  <si>
    <t>annual expenditure</t>
  </si>
  <si>
    <t>annual salary + 30% fringe</t>
  </si>
  <si>
    <t>stipend</t>
  </si>
  <si>
    <t>Management (development) *</t>
  </si>
  <si>
    <t xml:space="preserve">* Faculty and support staff salary used for development of course orientation, learning activities, information resources orientation, etc. </t>
  </si>
  <si>
    <t xml:space="preserve"> Initial marketing</t>
  </si>
  <si>
    <t>development year marketing</t>
  </si>
  <si>
    <t>AC=F/N+V</t>
  </si>
  <si>
    <t>Total cost= F+V*N</t>
  </si>
  <si>
    <t>Income per student (weighted average)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</si>
</sst>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&quot;[$USD-407]"/>
    <numFmt numFmtId="181" formatCode="#,##0.00&quot; &quot;[$USD-407]"/>
    <numFmt numFmtId="182" formatCode="#,##0&quot; &quot;[$USD-407];&quot;-&quot;#,##0&quot; &quot;[$USD-407]"/>
    <numFmt numFmtId="183" formatCode="#,##0.00&quot; &quot;[$€-407]"/>
    <numFmt numFmtId="184" formatCode="0.0%"/>
    <numFmt numFmtId="185" formatCode="0.0000"/>
    <numFmt numFmtId="186" formatCode="0.000"/>
    <numFmt numFmtId="187" formatCode="&quot;$&quot;#,##0.00"/>
    <numFmt numFmtId="188" formatCode="[$-409]dddd\,\ mmmm\ d\,\ yy"/>
    <numFmt numFmtId="189" formatCode="[$-409]h:mm:ss\ AM/PM"/>
  </numFmts>
  <fonts count="55">
    <font>
      <sz val="11"/>
      <color rgb="FF000000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9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FF"/>
      <name val="Times New Roman"/>
      <family val="1"/>
    </font>
    <font>
      <b/>
      <sz val="10"/>
      <color rgb="FF339966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48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48" fillId="35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indent="1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left" indent="1"/>
    </xf>
    <xf numFmtId="0" fontId="49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0" fillId="37" borderId="0" xfId="0" applyFont="1" applyFill="1" applyAlignment="1">
      <alignment/>
    </xf>
    <xf numFmtId="0" fontId="51" fillId="37" borderId="0" xfId="0" applyFont="1" applyFill="1" applyAlignment="1">
      <alignment/>
    </xf>
    <xf numFmtId="0" fontId="52" fillId="37" borderId="0" xfId="0" applyFont="1" applyFill="1" applyAlignment="1">
      <alignment/>
    </xf>
    <xf numFmtId="184" fontId="52" fillId="37" borderId="0" xfId="0" applyNumberFormat="1" applyFont="1" applyFill="1" applyAlignment="1">
      <alignment/>
    </xf>
    <xf numFmtId="1" fontId="52" fillId="37" borderId="0" xfId="0" applyNumberFormat="1" applyFont="1" applyFill="1" applyAlignment="1">
      <alignment/>
    </xf>
    <xf numFmtId="1" fontId="0" fillId="0" borderId="0" xfId="0" applyNumberFormat="1" applyAlignment="1">
      <alignment horizontal="left" indent="5"/>
    </xf>
    <xf numFmtId="185" fontId="52" fillId="37" borderId="0" xfId="0" applyNumberFormat="1" applyFont="1" applyFill="1" applyAlignment="1">
      <alignment horizontal="left" indent="4"/>
    </xf>
    <xf numFmtId="185" fontId="50" fillId="37" borderId="0" xfId="0" applyNumberFormat="1" applyFont="1" applyFill="1" applyAlignment="1">
      <alignment/>
    </xf>
    <xf numFmtId="186" fontId="50" fillId="37" borderId="0" xfId="0" applyNumberFormat="1" applyFont="1" applyFill="1" applyAlignment="1">
      <alignment/>
    </xf>
    <xf numFmtId="0" fontId="53" fillId="37" borderId="0" xfId="0" applyFont="1" applyFill="1" applyAlignment="1">
      <alignment/>
    </xf>
    <xf numFmtId="1" fontId="53" fillId="37" borderId="0" xfId="0" applyNumberFormat="1" applyFont="1" applyFill="1" applyAlignment="1">
      <alignment/>
    </xf>
    <xf numFmtId="0" fontId="48" fillId="38" borderId="10" xfId="0" applyFont="1" applyFill="1" applyBorder="1" applyAlignment="1">
      <alignment horizontal="center"/>
    </xf>
    <xf numFmtId="0" fontId="48" fillId="38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indent="1"/>
    </xf>
    <xf numFmtId="44" fontId="48" fillId="38" borderId="10" xfId="0" applyNumberFormat="1" applyFont="1" applyFill="1" applyBorder="1" applyAlignment="1">
      <alignment horizontal="center"/>
    </xf>
    <xf numFmtId="44" fontId="0" fillId="33" borderId="10" xfId="0" applyNumberForma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33" borderId="10" xfId="0" applyNumberFormat="1" applyFill="1" applyBorder="1" applyAlignment="1">
      <alignment wrapText="1"/>
    </xf>
    <xf numFmtId="44" fontId="0" fillId="35" borderId="10" xfId="0" applyNumberFormat="1" applyFill="1" applyBorder="1" applyAlignment="1">
      <alignment/>
    </xf>
    <xf numFmtId="44" fontId="0" fillId="0" borderId="11" xfId="0" applyNumberFormat="1" applyBorder="1" applyAlignment="1">
      <alignment/>
    </xf>
    <xf numFmtId="44" fontId="0" fillId="36" borderId="10" xfId="0" applyNumberFormat="1" applyFill="1" applyBorder="1" applyAlignment="1">
      <alignment/>
    </xf>
    <xf numFmtId="44" fontId="0" fillId="0" borderId="0" xfId="0" applyNumberFormat="1" applyAlignment="1">
      <alignment/>
    </xf>
    <xf numFmtId="43" fontId="48" fillId="38" borderId="10" xfId="0" applyNumberFormat="1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0" fillId="0" borderId="10" xfId="0" applyNumberFormat="1" applyBorder="1" applyAlignment="1">
      <alignment/>
    </xf>
    <xf numFmtId="43" fontId="0" fillId="35" borderId="10" xfId="0" applyNumberFormat="1" applyFill="1" applyBorder="1" applyAlignment="1">
      <alignment/>
    </xf>
    <xf numFmtId="43" fontId="0" fillId="36" borderId="10" xfId="0" applyNumberFormat="1" applyFill="1" applyBorder="1" applyAlignment="1">
      <alignment/>
    </xf>
    <xf numFmtId="43" fontId="0" fillId="0" borderId="0" xfId="0" applyNumberFormat="1" applyAlignment="1">
      <alignment/>
    </xf>
    <xf numFmtId="44" fontId="0" fillId="0" borderId="12" xfId="0" applyNumberFormat="1" applyFont="1" applyBorder="1" applyAlignment="1">
      <alignment/>
    </xf>
    <xf numFmtId="43" fontId="0" fillId="0" borderId="13" xfId="0" applyNumberFormat="1" applyBorder="1" applyAlignment="1">
      <alignment/>
    </xf>
    <xf numFmtId="44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82" fontId="0" fillId="0" borderId="14" xfId="0" applyNumberFormat="1" applyBorder="1" applyAlignment="1">
      <alignment/>
    </xf>
    <xf numFmtId="183" fontId="0" fillId="0" borderId="14" xfId="0" applyNumberFormat="1" applyBorder="1" applyAlignment="1">
      <alignment/>
    </xf>
    <xf numFmtId="0" fontId="0" fillId="39" borderId="14" xfId="0" applyFill="1" applyBorder="1" applyAlignment="1">
      <alignment/>
    </xf>
    <xf numFmtId="182" fontId="0" fillId="39" borderId="14" xfId="0" applyNumberFormat="1" applyFill="1" applyBorder="1" applyAlignment="1">
      <alignment/>
    </xf>
    <xf numFmtId="0" fontId="0" fillId="39" borderId="14" xfId="0" applyFill="1" applyBorder="1" applyAlignment="1">
      <alignment horizontal="right"/>
    </xf>
    <xf numFmtId="187" fontId="4" fillId="39" borderId="14" xfId="0" applyNumberFormat="1" applyFont="1" applyFill="1" applyBorder="1" applyAlignment="1">
      <alignment/>
    </xf>
    <xf numFmtId="182" fontId="4" fillId="39" borderId="14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182" fontId="0" fillId="0" borderId="14" xfId="0" applyNumberFormat="1" applyBorder="1" applyAlignment="1">
      <alignment horizontal="left" indent="5"/>
    </xf>
    <xf numFmtId="182" fontId="0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Break-even Point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"/>
          <c:y val="0.05125"/>
          <c:w val="0.674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Calculations!$A$14</c:f>
              <c:strCache>
                <c:ptCount val="1"/>
                <c:pt idx="0">
                  <c:v>Total cost= F+V*N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Calculations!$D$4:$H$4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cat>
          <c:val>
            <c:numRef>
              <c:f>Calculations!$D$14:$H$14</c:f>
              <c:numCache>
                <c:ptCount val="5"/>
                <c:pt idx="0">
                  <c:v>282400.42112361395</c:v>
                </c:pt>
                <c:pt idx="1">
                  <c:v>292600.42112361395</c:v>
                </c:pt>
                <c:pt idx="2">
                  <c:v>302800.42112361395</c:v>
                </c:pt>
                <c:pt idx="3">
                  <c:v>313000.42112361395</c:v>
                </c:pt>
                <c:pt idx="4">
                  <c:v>323200.42112361395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Calculations!$A$17</c:f>
              <c:strCache>
                <c:ptCount val="1"/>
                <c:pt idx="0">
                  <c:v>Total income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Calculations!$D$4:$H$4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cat>
          <c:val>
            <c:numRef>
              <c:f>Calculations!$D$17:$H$17</c:f>
              <c:numCache>
                <c:ptCount val="5"/>
                <c:pt idx="0">
                  <c:v>0</c:v>
                </c:pt>
                <c:pt idx="1">
                  <c:v>111600</c:v>
                </c:pt>
                <c:pt idx="2">
                  <c:v>223200</c:v>
                </c:pt>
                <c:pt idx="3">
                  <c:v>334800</c:v>
                </c:pt>
                <c:pt idx="4">
                  <c:v>446400</c:v>
                </c:pt>
              </c:numCache>
            </c:numRef>
          </c:val>
          <c:smooth val="0"/>
        </c:ser>
        <c:marker val="1"/>
        <c:axId val="36293547"/>
        <c:axId val="58206468"/>
      </c:lineChart>
      <c:catAx>
        <c:axId val="36293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accumulated students over five years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06468"/>
        <c:crosses val="autoZero"/>
        <c:auto val="1"/>
        <c:lblOffset val="100"/>
        <c:tickLblSkip val="1"/>
        <c:noMultiLvlLbl val="0"/>
      </c:catAx>
      <c:valAx>
        <c:axId val="582064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 dollars</a:t>
                </a:r>
              </a:p>
            </c:rich>
          </c:tx>
          <c:layout>
            <c:manualLayout>
              <c:xMode val="factor"/>
              <c:yMode val="factor"/>
              <c:x val="-0.01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35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75"/>
          <c:y val="0.54025"/>
          <c:w val="0.19525"/>
          <c:h val="0.1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2475"/>
          <c:y val="0.0465"/>
          <c:w val="0.67925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Calculations!$A$15</c:f>
              <c:strCache>
                <c:ptCount val="1"/>
                <c:pt idx="0">
                  <c:v>AC=F/N+V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Calculations!$D$4:$H$4</c:f>
              <c:numCache>
                <c:ptCount val="5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</c:numCache>
            </c:numRef>
          </c:cat>
          <c:val>
            <c:numRef>
              <c:f>Calculations!$D$15:$H$15</c:f>
              <c:numCache>
                <c:ptCount val="5"/>
                <c:pt idx="0">
                  <c:v>0</c:v>
                </c:pt>
                <c:pt idx="1">
                  <c:v>4876.673685393566</c:v>
                </c:pt>
                <c:pt idx="2">
                  <c:v>2523.336842696783</c:v>
                </c:pt>
                <c:pt idx="3">
                  <c:v>1738.8912284645219</c:v>
                </c:pt>
                <c:pt idx="4">
                  <c:v>1346.6684213483916</c:v>
                </c:pt>
              </c:numCache>
            </c:numRef>
          </c:val>
          <c:smooth val="0"/>
        </c:ser>
        <c:marker val="1"/>
        <c:axId val="54096165"/>
        <c:axId val="17103438"/>
      </c:lineChart>
      <c:catAx>
        <c:axId val="5409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accumulated students over five years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 val="autoZero"/>
        <c:auto val="1"/>
        <c:lblOffset val="100"/>
        <c:tickLblSkip val="1"/>
        <c:noMultiLvlLbl val="0"/>
      </c:catAx>
      <c:valAx>
        <c:axId val="17103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US dollars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9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05"/>
          <c:y val="0.54775"/>
          <c:w val="0.2055"/>
          <c:h val="0.03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12</xdr:col>
      <xdr:colOff>581025</xdr:colOff>
      <xdr:row>33</xdr:row>
      <xdr:rowOff>152400</xdr:rowOff>
    </xdr:to>
    <xdr:graphicFrame>
      <xdr:nvGraphicFramePr>
        <xdr:cNvPr id="1" name="Chart 2"/>
        <xdr:cNvGraphicFramePr/>
      </xdr:nvGraphicFramePr>
      <xdr:xfrm>
        <a:off x="628650" y="219075"/>
        <a:ext cx="70580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190500</xdr:colOff>
      <xdr:row>0</xdr:row>
      <xdr:rowOff>180975</xdr:rowOff>
    </xdr:from>
    <xdr:to>
      <xdr:col>22</xdr:col>
      <xdr:colOff>571500</xdr:colOff>
      <xdr:row>33</xdr:row>
      <xdr:rowOff>152400</xdr:rowOff>
    </xdr:to>
    <xdr:graphicFrame>
      <xdr:nvGraphicFramePr>
        <xdr:cNvPr id="2" name="Chart 3"/>
        <xdr:cNvGraphicFramePr/>
      </xdr:nvGraphicFramePr>
      <xdr:xfrm>
        <a:off x="7886700" y="180975"/>
        <a:ext cx="5695950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14</xdr:row>
      <xdr:rowOff>38100</xdr:rowOff>
    </xdr:from>
    <xdr:to>
      <xdr:col>8</xdr:col>
      <xdr:colOff>438150</xdr:colOff>
      <xdr:row>16</xdr:row>
      <xdr:rowOff>180975</xdr:rowOff>
    </xdr:to>
    <xdr:sp>
      <xdr:nvSpPr>
        <xdr:cNvPr id="3" name="Straight Arrow Connector 2"/>
        <xdr:cNvSpPr>
          <a:spLocks/>
        </xdr:cNvSpPr>
      </xdr:nvSpPr>
      <xdr:spPr>
        <a:xfrm flipH="1" flipV="1">
          <a:off x="4867275" y="2705100"/>
          <a:ext cx="314325" cy="523875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123825</xdr:colOff>
      <xdr:row>17</xdr:row>
      <xdr:rowOff>28575</xdr:rowOff>
    </xdr:from>
    <xdr:ext cx="1066800" cy="228600"/>
    <xdr:sp>
      <xdr:nvSpPr>
        <xdr:cNvPr id="4" name="TextBox 4"/>
        <xdr:cNvSpPr txBox="1">
          <a:spLocks noChangeArrowheads="1"/>
        </xdr:cNvSpPr>
      </xdr:nvSpPr>
      <xdr:spPr>
        <a:xfrm>
          <a:off x="4867275" y="3267075"/>
          <a:ext cx="1066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Break even 151.8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32" sqref="G32"/>
    </sheetView>
  </sheetViews>
  <sheetFormatPr defaultColWidth="8.8515625" defaultRowHeight="15"/>
  <cols>
    <col min="1" max="1" width="37.140625" style="0" customWidth="1"/>
    <col min="2" max="2" width="30.7109375" style="0" customWidth="1"/>
    <col min="3" max="3" width="29.140625" style="0" customWidth="1"/>
    <col min="4" max="4" width="9.8515625" style="0" customWidth="1"/>
    <col min="5" max="5" width="14.28125" style="45" customWidth="1"/>
    <col min="6" max="6" width="14.140625" style="39" customWidth="1"/>
    <col min="7" max="7" width="9.140625" style="0" customWidth="1"/>
  </cols>
  <sheetData>
    <row r="1" spans="1:6" ht="15">
      <c r="A1" s="27" t="s">
        <v>66</v>
      </c>
      <c r="B1" s="28" t="s">
        <v>0</v>
      </c>
      <c r="C1" s="27" t="s">
        <v>1</v>
      </c>
      <c r="D1" s="27" t="s">
        <v>2</v>
      </c>
      <c r="E1" s="40" t="s">
        <v>3</v>
      </c>
      <c r="F1" s="32" t="s">
        <v>4</v>
      </c>
    </row>
    <row r="2" spans="1:6" ht="15">
      <c r="A2" s="2" t="s">
        <v>5</v>
      </c>
      <c r="B2" s="3"/>
      <c r="C2" s="3"/>
      <c r="D2" s="3"/>
      <c r="E2" s="41"/>
      <c r="F2" s="33"/>
    </row>
    <row r="3" spans="1:6" ht="15">
      <c r="A3" s="1" t="s">
        <v>6</v>
      </c>
      <c r="B3" s="1" t="s">
        <v>50</v>
      </c>
      <c r="C3" s="1" t="s">
        <v>72</v>
      </c>
      <c r="D3" s="1">
        <v>0.1</v>
      </c>
      <c r="E3" s="42">
        <v>195000</v>
      </c>
      <c r="F3" s="34">
        <f>PRODUCT(D3:E3)</f>
        <v>19500</v>
      </c>
    </row>
    <row r="4" spans="1:6" ht="15">
      <c r="A4" s="1" t="s">
        <v>7</v>
      </c>
      <c r="B4" s="1" t="s">
        <v>48</v>
      </c>
      <c r="C4" s="1" t="s">
        <v>72</v>
      </c>
      <c r="D4" s="1">
        <v>0.2</v>
      </c>
      <c r="E4" s="42">
        <v>91000</v>
      </c>
      <c r="F4" s="34">
        <f>PRODUCT(D4:E4)</f>
        <v>18200</v>
      </c>
    </row>
    <row r="5" spans="1:6" ht="15">
      <c r="A5" s="1" t="s">
        <v>7</v>
      </c>
      <c r="B5" s="1" t="s">
        <v>49</v>
      </c>
      <c r="C5" s="1" t="s">
        <v>73</v>
      </c>
      <c r="D5" s="1">
        <v>2</v>
      </c>
      <c r="E5" s="42">
        <v>3500</v>
      </c>
      <c r="F5" s="34">
        <f>PRODUCT(D5:E5)</f>
        <v>7000</v>
      </c>
    </row>
    <row r="6" spans="1:6" ht="15">
      <c r="A6" s="30" t="s">
        <v>8</v>
      </c>
      <c r="B6" s="1"/>
      <c r="C6" s="1"/>
      <c r="D6" s="1"/>
      <c r="E6" s="42"/>
      <c r="F6" s="34">
        <f>SUM(F3,F4,F5)</f>
        <v>44700</v>
      </c>
    </row>
    <row r="7" spans="1:6" ht="15">
      <c r="A7" s="2" t="s">
        <v>9</v>
      </c>
      <c r="B7" s="3"/>
      <c r="C7" s="3"/>
      <c r="D7" s="3"/>
      <c r="E7" s="41"/>
      <c r="F7" s="35"/>
    </row>
    <row r="8" spans="1:10" s="6" customFormat="1" ht="15">
      <c r="A8" s="4" t="s">
        <v>74</v>
      </c>
      <c r="B8" s="5"/>
      <c r="C8" s="5"/>
      <c r="D8" s="5"/>
      <c r="E8" s="43"/>
      <c r="F8" s="36"/>
      <c r="J8"/>
    </row>
    <row r="9" spans="1:6" ht="15">
      <c r="A9" s="1" t="s">
        <v>6</v>
      </c>
      <c r="B9" s="1" t="s">
        <v>50</v>
      </c>
      <c r="C9" s="1" t="s">
        <v>72</v>
      </c>
      <c r="D9" s="1">
        <v>0.15</v>
      </c>
      <c r="E9" s="42">
        <v>195000</v>
      </c>
      <c r="F9" s="34">
        <f>PRODUCT(D9:E9)</f>
        <v>29250</v>
      </c>
    </row>
    <row r="10" spans="1:6" ht="15">
      <c r="A10" s="1" t="s">
        <v>10</v>
      </c>
      <c r="B10" s="1" t="s">
        <v>48</v>
      </c>
      <c r="C10" s="1" t="s">
        <v>72</v>
      </c>
      <c r="D10" s="1">
        <v>0.2</v>
      </c>
      <c r="E10" s="42">
        <v>91000</v>
      </c>
      <c r="F10" s="34">
        <f>PRODUCT(D10:E10)</f>
        <v>18200</v>
      </c>
    </row>
    <row r="11" spans="1:6" ht="15">
      <c r="A11" s="1" t="s">
        <v>10</v>
      </c>
      <c r="B11" s="1" t="s">
        <v>49</v>
      </c>
      <c r="C11" s="1" t="s">
        <v>73</v>
      </c>
      <c r="D11" s="1">
        <v>1</v>
      </c>
      <c r="E11" s="42">
        <v>5000</v>
      </c>
      <c r="F11" s="34">
        <f>PRODUCT(D11:E11)</f>
        <v>5000</v>
      </c>
    </row>
    <row r="12" spans="1:6" ht="15">
      <c r="A12" s="4" t="s">
        <v>11</v>
      </c>
      <c r="B12" s="7"/>
      <c r="C12" s="5"/>
      <c r="D12" s="5"/>
      <c r="E12" s="43"/>
      <c r="F12" s="36"/>
    </row>
    <row r="13" spans="1:6" ht="15">
      <c r="A13" s="9" t="s">
        <v>59</v>
      </c>
      <c r="B13" s="9" t="s">
        <v>69</v>
      </c>
      <c r="C13" s="1" t="s">
        <v>70</v>
      </c>
      <c r="D13" s="1">
        <v>1</v>
      </c>
      <c r="E13" s="42">
        <v>74.95</v>
      </c>
      <c r="F13" s="46">
        <f>PRODUCT(D13:E13)</f>
        <v>74.95</v>
      </c>
    </row>
    <row r="14" spans="1:6" ht="15">
      <c r="A14" s="9" t="s">
        <v>76</v>
      </c>
      <c r="B14" s="9" t="s">
        <v>68</v>
      </c>
      <c r="C14" s="1" t="s">
        <v>77</v>
      </c>
      <c r="D14" s="1">
        <v>1</v>
      </c>
      <c r="E14" s="47">
        <v>3000</v>
      </c>
      <c r="F14" s="48">
        <f>PRODUCT(D14:E14)</f>
        <v>3000</v>
      </c>
    </row>
    <row r="15" spans="1:6" ht="15">
      <c r="A15" s="30" t="s">
        <v>13</v>
      </c>
      <c r="B15" s="9"/>
      <c r="C15" s="1"/>
      <c r="D15" s="1"/>
      <c r="E15" s="42"/>
      <c r="F15" s="37">
        <f>SUM(F9:F14)</f>
        <v>55524.95</v>
      </c>
    </row>
    <row r="16" spans="1:6" ht="15">
      <c r="A16" s="29" t="s">
        <v>14</v>
      </c>
      <c r="B16" s="9"/>
      <c r="C16" s="1"/>
      <c r="D16" s="1"/>
      <c r="E16" s="42"/>
      <c r="F16" s="34">
        <f>F15</f>
        <v>55524.95</v>
      </c>
    </row>
    <row r="17" spans="1:6" ht="15">
      <c r="A17" s="2" t="s">
        <v>15</v>
      </c>
      <c r="B17" s="3"/>
      <c r="C17" s="3"/>
      <c r="D17" s="3"/>
      <c r="E17" s="41"/>
      <c r="F17" s="33"/>
    </row>
    <row r="18" spans="1:6" ht="15">
      <c r="A18" s="1" t="s">
        <v>53</v>
      </c>
      <c r="B18" s="9" t="s">
        <v>56</v>
      </c>
      <c r="C18" s="1" t="s">
        <v>12</v>
      </c>
      <c r="D18" s="1">
        <v>96</v>
      </c>
      <c r="E18" s="42">
        <v>15</v>
      </c>
      <c r="F18" s="34">
        <f>PRODUCT(D18,E18)/60</f>
        <v>24</v>
      </c>
    </row>
    <row r="19" spans="1:6" ht="15">
      <c r="A19" s="1" t="s">
        <v>16</v>
      </c>
      <c r="B19" s="9" t="s">
        <v>56</v>
      </c>
      <c r="C19" s="1" t="s">
        <v>12</v>
      </c>
      <c r="D19" s="1">
        <v>45</v>
      </c>
      <c r="E19" s="42">
        <v>15</v>
      </c>
      <c r="F19" s="34">
        <f>PRODUCT(D19:E19)/60</f>
        <v>11.25</v>
      </c>
    </row>
    <row r="20" spans="1:6" ht="15">
      <c r="A20" s="1" t="s">
        <v>57</v>
      </c>
      <c r="B20" s="8" t="s">
        <v>62</v>
      </c>
      <c r="C20" s="1" t="s">
        <v>54</v>
      </c>
      <c r="D20" s="1">
        <v>1</v>
      </c>
      <c r="E20" s="42">
        <v>4000</v>
      </c>
      <c r="F20" s="34">
        <f>PRODUCT(E20)/60</f>
        <v>66.66666666666667</v>
      </c>
    </row>
    <row r="21" spans="1:6" ht="15">
      <c r="A21" s="1" t="s">
        <v>59</v>
      </c>
      <c r="B21" s="8" t="s">
        <v>58</v>
      </c>
      <c r="C21" s="1" t="s">
        <v>54</v>
      </c>
      <c r="D21" s="1">
        <v>1</v>
      </c>
      <c r="E21" s="42">
        <v>74.95</v>
      </c>
      <c r="F21" s="34">
        <f>PRODUCT(D21:E21)/60</f>
        <v>1.2491666666666668</v>
      </c>
    </row>
    <row r="22" spans="1:6" ht="15">
      <c r="A22" s="1" t="s">
        <v>55</v>
      </c>
      <c r="B22" s="8" t="s">
        <v>63</v>
      </c>
      <c r="C22" s="1" t="s">
        <v>54</v>
      </c>
      <c r="D22" s="1">
        <v>1</v>
      </c>
      <c r="E22" s="42">
        <v>1000</v>
      </c>
      <c r="F22" s="34">
        <f>PRODUCT(D22:E22)/60</f>
        <v>16.666666666666668</v>
      </c>
    </row>
    <row r="23" spans="1:6" ht="15">
      <c r="A23" s="8" t="s">
        <v>67</v>
      </c>
      <c r="B23" s="8" t="s">
        <v>68</v>
      </c>
      <c r="C23" s="1" t="s">
        <v>71</v>
      </c>
      <c r="D23" s="1">
        <v>1</v>
      </c>
      <c r="E23" s="42">
        <v>3000</v>
      </c>
      <c r="F23" s="34">
        <f>E23/60</f>
        <v>50</v>
      </c>
    </row>
    <row r="24" spans="1:6" ht="15">
      <c r="A24" s="31" t="s">
        <v>17</v>
      </c>
      <c r="B24" s="8"/>
      <c r="C24" s="1"/>
      <c r="D24" s="1"/>
      <c r="E24" s="42"/>
      <c r="F24" s="34">
        <f>SUM(F18:F23)</f>
        <v>169.8325</v>
      </c>
    </row>
    <row r="25" spans="1:6" ht="15">
      <c r="A25" s="10" t="s">
        <v>64</v>
      </c>
      <c r="B25" s="11" t="s">
        <v>51</v>
      </c>
      <c r="C25" s="12" t="s">
        <v>18</v>
      </c>
      <c r="D25" s="11">
        <v>3</v>
      </c>
      <c r="E25" s="44">
        <v>550</v>
      </c>
      <c r="F25" s="38">
        <f>PRODUCT(D25:E25)</f>
        <v>1650</v>
      </c>
    </row>
    <row r="26" spans="1:6" ht="15">
      <c r="A26" s="10" t="s">
        <v>64</v>
      </c>
      <c r="B26" s="11" t="s">
        <v>52</v>
      </c>
      <c r="C26" s="12" t="s">
        <v>18</v>
      </c>
      <c r="D26" s="11">
        <v>3</v>
      </c>
      <c r="E26" s="44">
        <v>650</v>
      </c>
      <c r="F26" s="38">
        <f>PRODUCT(D26:E26)</f>
        <v>1950</v>
      </c>
    </row>
    <row r="27" spans="1:6" ht="15">
      <c r="A27" s="13"/>
      <c r="B27" s="1"/>
      <c r="C27" s="1"/>
      <c r="D27" s="1"/>
      <c r="E27" s="42"/>
      <c r="F27" s="34"/>
    </row>
    <row r="28" spans="1:6" ht="15">
      <c r="A28" s="13"/>
      <c r="B28" s="1"/>
      <c r="C28" s="1"/>
      <c r="D28" s="1"/>
      <c r="E28" s="42"/>
      <c r="F28" s="34"/>
    </row>
    <row r="30" ht="15">
      <c r="A30" t="s">
        <v>75</v>
      </c>
    </row>
  </sheetData>
  <sheetProtection/>
  <printOptions/>
  <pageMargins left="0.7" right="0.7" top="0.75" bottom="0.75" header="0.3" footer="0.3"/>
  <pageSetup fitToHeight="0" fitToWidth="0" horizontalDpi="1200" verticalDpi="12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5" sqref="A25"/>
    </sheetView>
  </sheetViews>
  <sheetFormatPr defaultColWidth="8.8515625" defaultRowHeight="15"/>
  <cols>
    <col min="1" max="1" width="41.140625" style="0" customWidth="1"/>
    <col min="2" max="2" width="14.421875" style="0" bestFit="1" customWidth="1"/>
    <col min="3" max="3" width="11.28125" style="0" bestFit="1" customWidth="1"/>
    <col min="4" max="4" width="12.28125" style="0" bestFit="1" customWidth="1"/>
    <col min="5" max="5" width="13.421875" style="0" customWidth="1"/>
    <col min="6" max="8" width="11.421875" style="0" bestFit="1" customWidth="1"/>
    <col min="9" max="9" width="12.28125" style="0" bestFit="1" customWidth="1"/>
    <col min="10" max="13" width="9.140625" style="0" customWidth="1"/>
    <col min="14" max="14" width="10.28125" style="0" bestFit="1" customWidth="1"/>
    <col min="15" max="15" width="9.140625" style="0" customWidth="1"/>
  </cols>
  <sheetData>
    <row r="1" spans="1:9" ht="15">
      <c r="A1" s="49"/>
      <c r="B1" s="49"/>
      <c r="C1" s="49"/>
      <c r="D1" s="49" t="s">
        <v>19</v>
      </c>
      <c r="E1" s="49" t="s">
        <v>20</v>
      </c>
      <c r="F1" s="49" t="s">
        <v>21</v>
      </c>
      <c r="G1" s="49" t="s">
        <v>22</v>
      </c>
      <c r="H1" s="49" t="s">
        <v>23</v>
      </c>
      <c r="I1" s="49"/>
    </row>
    <row r="2" spans="1:9" ht="15">
      <c r="A2" s="49" t="s">
        <v>60</v>
      </c>
      <c r="B2" s="49"/>
      <c r="C2" s="49"/>
      <c r="D2" s="49">
        <v>0</v>
      </c>
      <c r="E2" s="49">
        <v>18</v>
      </c>
      <c r="F2" s="49">
        <v>18</v>
      </c>
      <c r="G2" s="49">
        <v>18</v>
      </c>
      <c r="H2" s="49">
        <v>18</v>
      </c>
      <c r="I2" s="49"/>
    </row>
    <row r="3" spans="1:9" ht="15">
      <c r="A3" s="49" t="s">
        <v>61</v>
      </c>
      <c r="B3" s="49"/>
      <c r="C3" s="49"/>
      <c r="D3" s="49">
        <v>0</v>
      </c>
      <c r="E3" s="49">
        <v>42</v>
      </c>
      <c r="F3" s="49">
        <v>42</v>
      </c>
      <c r="G3" s="49">
        <v>42</v>
      </c>
      <c r="H3" s="49">
        <v>42</v>
      </c>
      <c r="I3" s="49"/>
    </row>
    <row r="4" spans="1:9" ht="15">
      <c r="A4" s="49" t="s">
        <v>24</v>
      </c>
      <c r="B4" s="49"/>
      <c r="C4" s="49"/>
      <c r="D4" s="49">
        <v>0</v>
      </c>
      <c r="E4" s="49">
        <v>60</v>
      </c>
      <c r="F4" s="49">
        <v>120</v>
      </c>
      <c r="G4" s="49">
        <v>180</v>
      </c>
      <c r="H4" s="49">
        <v>240</v>
      </c>
      <c r="I4" s="49"/>
    </row>
    <row r="5" spans="1:9" ht="15">
      <c r="A5" s="49" t="s">
        <v>25</v>
      </c>
      <c r="B5" s="50"/>
      <c r="C5" s="50">
        <f>Ingredients!F6</f>
        <v>44700</v>
      </c>
      <c r="D5" s="50">
        <f>C5</f>
        <v>44700</v>
      </c>
      <c r="E5" s="50">
        <f>D5</f>
        <v>44700</v>
      </c>
      <c r="F5" s="50">
        <f>E5</f>
        <v>44700</v>
      </c>
      <c r="G5" s="50">
        <f>F5</f>
        <v>44700</v>
      </c>
      <c r="H5" s="50">
        <f>G5</f>
        <v>44700</v>
      </c>
      <c r="I5" s="51"/>
    </row>
    <row r="6" spans="1:9" ht="15">
      <c r="A6" s="52" t="s">
        <v>26</v>
      </c>
      <c r="B6" s="53"/>
      <c r="C6" s="53"/>
      <c r="D6" s="53"/>
      <c r="E6" s="53"/>
      <c r="F6" s="53"/>
      <c r="G6" s="53"/>
      <c r="H6" s="53"/>
      <c r="I6" s="51"/>
    </row>
    <row r="7" spans="1:9" ht="15">
      <c r="A7" s="54" t="s">
        <v>27</v>
      </c>
      <c r="B7" s="53">
        <f>Ingredients!F15</f>
        <v>55524.95</v>
      </c>
      <c r="C7" s="55">
        <f>B7/5</f>
        <v>11104.99</v>
      </c>
      <c r="D7" s="56">
        <f>C7</f>
        <v>11104.99</v>
      </c>
      <c r="E7" s="56">
        <f>D7</f>
        <v>11104.99</v>
      </c>
      <c r="F7" s="56">
        <f>E7</f>
        <v>11104.99</v>
      </c>
      <c r="G7" s="56">
        <f>F7</f>
        <v>11104.99</v>
      </c>
      <c r="H7" s="56">
        <f>G7</f>
        <v>11104.99</v>
      </c>
      <c r="I7" s="51"/>
    </row>
    <row r="8" spans="1:9" ht="15">
      <c r="A8" s="52"/>
      <c r="B8" s="53"/>
      <c r="C8" s="53"/>
      <c r="D8" s="53">
        <f>D5+D7</f>
        <v>55804.99</v>
      </c>
      <c r="E8" s="53">
        <f>E5+E7</f>
        <v>55804.99</v>
      </c>
      <c r="F8" s="53">
        <f>F5+F7</f>
        <v>55804.99</v>
      </c>
      <c r="G8" s="53">
        <f>G5+G7</f>
        <v>55804.99</v>
      </c>
      <c r="H8" s="53">
        <f>H5+H7</f>
        <v>55804.99</v>
      </c>
      <c r="I8" s="53">
        <f>SUM(D8:H8)</f>
        <v>279024.95</v>
      </c>
    </row>
    <row r="9" spans="1:9" ht="15">
      <c r="A9" s="49" t="s">
        <v>28</v>
      </c>
      <c r="B9" s="50"/>
      <c r="C9" s="50"/>
      <c r="D9" s="50"/>
      <c r="E9" s="50"/>
      <c r="F9" s="50"/>
      <c r="G9" s="50"/>
      <c r="H9" s="50"/>
      <c r="I9" s="57"/>
    </row>
    <row r="10" spans="1:9" ht="15">
      <c r="A10" s="58" t="s">
        <v>27</v>
      </c>
      <c r="B10" s="50">
        <f>Ingredients!F15</f>
        <v>55524.95</v>
      </c>
      <c r="C10" s="50">
        <f>PMT(G22,G23,-B10)</f>
        <v>11780.084224722787</v>
      </c>
      <c r="D10" s="50">
        <f>C10</f>
        <v>11780.084224722787</v>
      </c>
      <c r="E10" s="50">
        <f>D10</f>
        <v>11780.084224722787</v>
      </c>
      <c r="F10" s="50">
        <f>E10</f>
        <v>11780.084224722787</v>
      </c>
      <c r="G10" s="50">
        <f>F10</f>
        <v>11780.084224722787</v>
      </c>
      <c r="H10" s="50">
        <f>G10</f>
        <v>11780.084224722787</v>
      </c>
      <c r="I10" s="57"/>
    </row>
    <row r="11" spans="1:9" ht="15">
      <c r="A11" s="58"/>
      <c r="B11" s="50"/>
      <c r="C11" s="50"/>
      <c r="D11" s="50">
        <f>SUM(D5+D10)</f>
        <v>56480.084224722785</v>
      </c>
      <c r="E11" s="50">
        <f>SUM(E5+E10)</f>
        <v>56480.084224722785</v>
      </c>
      <c r="F11" s="50">
        <f>SUM(F5+F10)</f>
        <v>56480.084224722785</v>
      </c>
      <c r="G11" s="50">
        <f>SUM(G5+G10)</f>
        <v>56480.084224722785</v>
      </c>
      <c r="H11" s="50">
        <f>SUM(H5+H10)</f>
        <v>56480.084224722785</v>
      </c>
      <c r="I11" s="50">
        <f>SUM(D11:H11)</f>
        <v>282400.42112361395</v>
      </c>
    </row>
    <row r="12" spans="1:9" ht="15">
      <c r="A12" s="49" t="s">
        <v>14</v>
      </c>
      <c r="B12" s="50"/>
      <c r="C12" s="50"/>
      <c r="D12" s="50">
        <f>I11</f>
        <v>282400.42112361395</v>
      </c>
      <c r="E12" s="50">
        <f aca="true" t="shared" si="0" ref="E12:H13">D12</f>
        <v>282400.42112361395</v>
      </c>
      <c r="F12" s="50">
        <f t="shared" si="0"/>
        <v>282400.42112361395</v>
      </c>
      <c r="G12" s="50">
        <f t="shared" si="0"/>
        <v>282400.42112361395</v>
      </c>
      <c r="H12" s="50">
        <f t="shared" si="0"/>
        <v>282400.42112361395</v>
      </c>
      <c r="I12" s="57"/>
    </row>
    <row r="13" spans="1:9" ht="15">
      <c r="A13" s="49" t="s">
        <v>29</v>
      </c>
      <c r="B13" s="59"/>
      <c r="C13" s="50"/>
      <c r="D13" s="50">
        <v>0</v>
      </c>
      <c r="E13" s="50">
        <v>170</v>
      </c>
      <c r="F13" s="50">
        <f t="shared" si="0"/>
        <v>170</v>
      </c>
      <c r="G13" s="50">
        <f t="shared" si="0"/>
        <v>170</v>
      </c>
      <c r="H13" s="50">
        <f t="shared" si="0"/>
        <v>170</v>
      </c>
      <c r="I13" s="49"/>
    </row>
    <row r="14" spans="1:9" ht="15">
      <c r="A14" s="49" t="s">
        <v>79</v>
      </c>
      <c r="B14" s="50"/>
      <c r="C14" s="50"/>
      <c r="D14" s="50">
        <f>SUM(D13*D4)+D12</f>
        <v>282400.42112361395</v>
      </c>
      <c r="E14" s="50">
        <f>SUM(E13*E4)+E12</f>
        <v>292600.42112361395</v>
      </c>
      <c r="F14" s="50">
        <f>SUM(F13*F4)+F12</f>
        <v>302800.42112361395</v>
      </c>
      <c r="G14" s="50">
        <f>SUM(G13*G4)+G12</f>
        <v>313000.42112361395</v>
      </c>
      <c r="H14" s="50">
        <f>SUM(H13*H4)+H12</f>
        <v>323200.42112361395</v>
      </c>
      <c r="I14" s="49"/>
    </row>
    <row r="15" spans="1:9" ht="15">
      <c r="A15" s="49" t="s">
        <v>78</v>
      </c>
      <c r="B15" s="50"/>
      <c r="C15" s="50"/>
      <c r="D15" s="60">
        <v>0</v>
      </c>
      <c r="E15" s="60">
        <f>SUM(E12/E4)+E13</f>
        <v>4876.673685393566</v>
      </c>
      <c r="F15" s="60">
        <f>SUM(F12/F4)+F13</f>
        <v>2523.336842696783</v>
      </c>
      <c r="G15" s="60">
        <f>SUM(G12/G4)+G13</f>
        <v>1738.8912284645219</v>
      </c>
      <c r="H15" s="60">
        <f>SUM(H12/H4)+H13</f>
        <v>1346.6684213483916</v>
      </c>
      <c r="I15" s="49"/>
    </row>
    <row r="16" spans="1:9" ht="15">
      <c r="A16" s="49" t="s">
        <v>80</v>
      </c>
      <c r="B16" s="50"/>
      <c r="C16" s="50">
        <f>Ingredients!F25*0.3+Ingredients!F26*0.7</f>
        <v>1860</v>
      </c>
      <c r="D16" s="50">
        <v>0</v>
      </c>
      <c r="E16" s="50">
        <v>1860</v>
      </c>
      <c r="F16" s="50">
        <v>1860</v>
      </c>
      <c r="G16" s="50">
        <v>1860</v>
      </c>
      <c r="H16" s="50">
        <v>1860</v>
      </c>
      <c r="I16" s="50"/>
    </row>
    <row r="17" spans="1:9" ht="15">
      <c r="A17" s="49" t="s">
        <v>30</v>
      </c>
      <c r="B17" s="50"/>
      <c r="C17" s="50"/>
      <c r="D17" s="50">
        <v>0</v>
      </c>
      <c r="E17" s="50">
        <f>PRODUCT(C16*E4)</f>
        <v>111600</v>
      </c>
      <c r="F17" s="50">
        <f>PRODUCT(C16*F4)</f>
        <v>223200</v>
      </c>
      <c r="G17" s="50">
        <f>PRODUCT(C16*G4)</f>
        <v>334800</v>
      </c>
      <c r="H17" s="50">
        <f>PRODUCT(C16*H4)</f>
        <v>446400</v>
      </c>
      <c r="I17" s="49"/>
    </row>
    <row r="18" spans="1:9" ht="15">
      <c r="A18" s="49" t="s">
        <v>31</v>
      </c>
      <c r="B18" s="50"/>
      <c r="C18" s="50"/>
      <c r="D18" s="50">
        <f>D17-D14</f>
        <v>-282400.42112361395</v>
      </c>
      <c r="E18" s="50">
        <f>E17-E14</f>
        <v>-181000.42112361395</v>
      </c>
      <c r="F18" s="50">
        <f>F17-F14</f>
        <v>-79600.42112361395</v>
      </c>
      <c r="G18" s="50">
        <f>G17-G14</f>
        <v>21799.578876386047</v>
      </c>
      <c r="H18" s="50">
        <f>H17-H14</f>
        <v>123199.57887638605</v>
      </c>
      <c r="I18" s="49"/>
    </row>
    <row r="19" spans="1:9" ht="15">
      <c r="A19" s="49" t="s">
        <v>65</v>
      </c>
      <c r="B19" s="49">
        <f>(D12/(C16-D13))</f>
        <v>151.82818339979244</v>
      </c>
      <c r="C19" s="49"/>
      <c r="D19" s="57"/>
      <c r="E19" s="49"/>
      <c r="F19" s="49"/>
      <c r="G19" s="49"/>
      <c r="H19" s="49"/>
      <c r="I19" s="49"/>
    </row>
    <row r="21" spans="1:8" ht="15">
      <c r="A21" s="15"/>
      <c r="C21" s="14"/>
      <c r="D21" s="16"/>
      <c r="E21" s="16"/>
      <c r="F21" s="17" t="s">
        <v>32</v>
      </c>
      <c r="G21" s="16"/>
      <c r="H21" s="14"/>
    </row>
    <row r="22" spans="1:8" ht="15">
      <c r="A22" s="15"/>
      <c r="C22" s="14"/>
      <c r="D22" s="18" t="s">
        <v>33</v>
      </c>
      <c r="E22" s="18" t="s">
        <v>34</v>
      </c>
      <c r="F22" s="18" t="s">
        <v>35</v>
      </c>
      <c r="G22" s="19">
        <v>0.02</v>
      </c>
      <c r="H22" s="14"/>
    </row>
    <row r="23" spans="4:8" ht="15">
      <c r="D23" s="18" t="s">
        <v>33</v>
      </c>
      <c r="E23" s="18" t="s">
        <v>36</v>
      </c>
      <c r="F23" s="18" t="s">
        <v>37</v>
      </c>
      <c r="G23" s="18">
        <v>5</v>
      </c>
      <c r="H23" s="14"/>
    </row>
    <row r="24" spans="2:8" ht="15">
      <c r="B24" s="14"/>
      <c r="D24" s="18" t="s">
        <v>33</v>
      </c>
      <c r="E24" s="18" t="s">
        <v>38</v>
      </c>
      <c r="F24" s="18" t="s">
        <v>39</v>
      </c>
      <c r="G24" s="20">
        <f>B10</f>
        <v>55524.95</v>
      </c>
      <c r="H24" s="14"/>
    </row>
    <row r="25" spans="2:7" ht="15">
      <c r="B25" s="21"/>
      <c r="D25" s="18"/>
      <c r="E25" s="16" t="s">
        <v>40</v>
      </c>
      <c r="F25" s="18"/>
      <c r="G25" s="22">
        <f>(1+G22)</f>
        <v>1.02</v>
      </c>
    </row>
    <row r="26" spans="4:7" ht="16.5">
      <c r="D26" s="16"/>
      <c r="E26" s="16" t="s">
        <v>41</v>
      </c>
      <c r="F26" s="16" t="s">
        <v>42</v>
      </c>
      <c r="G26" s="23">
        <f>POWER(G25,G23)</f>
        <v>1.1040808032</v>
      </c>
    </row>
    <row r="27" spans="4:8" ht="15">
      <c r="D27" s="16"/>
      <c r="E27" s="16" t="s">
        <v>43</v>
      </c>
      <c r="F27" s="16" t="s">
        <v>44</v>
      </c>
      <c r="G27" s="24">
        <f>G22*G26/(G26-1)</f>
        <v>0.2121583941043222</v>
      </c>
      <c r="H27" s="14"/>
    </row>
    <row r="28" spans="4:7" ht="15">
      <c r="D28" s="25" t="s">
        <v>45</v>
      </c>
      <c r="E28" s="25" t="s">
        <v>46</v>
      </c>
      <c r="F28" s="25" t="s">
        <v>47</v>
      </c>
      <c r="G28" s="26">
        <f>G27*G24</f>
        <v>11780.084224722783</v>
      </c>
    </row>
    <row r="29" spans="6:8" ht="15">
      <c r="F29" s="14"/>
      <c r="G29" s="14"/>
      <c r="H29" s="14"/>
    </row>
    <row r="30" spans="4:8" ht="15">
      <c r="D30" s="14"/>
      <c r="E30" s="14"/>
      <c r="F30" s="14"/>
      <c r="G30" s="14"/>
      <c r="H30" s="14"/>
    </row>
    <row r="31" ht="15">
      <c r="D31" s="14"/>
    </row>
  </sheetData>
  <sheetProtection/>
  <printOptions/>
  <pageMargins left="0.7" right="0.7" top="0.75" bottom="0.75" header="0.3" footer="0.3"/>
  <pageSetup fitToHeight="0" fitToWidth="0" horizontalDpi="1200" verticalDpi="1200" orientation="landscape" scale="7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7" sqref="J37"/>
    </sheetView>
  </sheetViews>
  <sheetFormatPr defaultColWidth="8.8515625" defaultRowHeight="15"/>
  <cols>
    <col min="1" max="1" width="9.140625" style="0" customWidth="1"/>
  </cols>
  <sheetData/>
  <sheetProtection/>
  <printOptions/>
  <pageMargins left="0.7000000000000001" right="0.7000000000000001" top="0.75" bottom="0.75" header="0.30000000000000004" footer="0.30000000000000004"/>
  <pageSetup horizontalDpi="1200" verticalDpi="12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Huelsmann</dc:creator>
  <cp:keywords/>
  <dc:description/>
  <cp:lastModifiedBy>Lynn</cp:lastModifiedBy>
  <cp:lastPrinted>2016-04-16T22:48:08Z</cp:lastPrinted>
  <dcterms:created xsi:type="dcterms:W3CDTF">2016-02-13T12:15:32Z</dcterms:created>
  <dcterms:modified xsi:type="dcterms:W3CDTF">2016-08-11T12:28:12Z</dcterms:modified>
  <cp:category/>
  <cp:version/>
  <cp:contentType/>
  <cp:contentStatus/>
</cp:coreProperties>
</file>